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A:\Dropbox\Diseno Experimental\Curso_2016_DE\Guias Lab\"/>
    </mc:Choice>
  </mc:AlternateContent>
  <bookViews>
    <workbookView xWindow="360" yWindow="375" windowWidth="11160" windowHeight="7155"/>
  </bookViews>
  <sheets>
    <sheet name="Area igual" sheetId="1" r:id="rId1"/>
    <sheet name="Area desigual" sheetId="2" r:id="rId2"/>
    <sheet name="Estratificado" sheetId="3" r:id="rId3"/>
    <sheet name="Determinacion tamaño muestra" sheetId="5" r:id="rId4"/>
    <sheet name="Observadores independientes" sheetId="6" r:id="rId5"/>
    <sheet name="Multiples observadores" sheetId="7" r:id="rId6"/>
  </sheets>
  <definedNames>
    <definedName name="M">'Area igual'!#REF!</definedName>
    <definedName name="m_">'Area igual'!#REF!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7" l="1"/>
  <c r="C9" i="7"/>
  <c r="C7" i="7"/>
  <c r="D5" i="7"/>
  <c r="D6" i="7" s="1"/>
  <c r="C5" i="7"/>
  <c r="E4" i="7"/>
  <c r="E3" i="7"/>
  <c r="E5" i="7" s="1"/>
  <c r="B8" i="6"/>
  <c r="B6" i="6"/>
  <c r="B12" i="6" s="1"/>
  <c r="C6" i="7" l="1"/>
  <c r="C16" i="7"/>
  <c r="C13" i="7"/>
  <c r="C18" i="7" s="1"/>
  <c r="B10" i="6"/>
  <c r="B24" i="5"/>
  <c r="B25" i="5" s="1"/>
  <c r="C14" i="2"/>
  <c r="F3" i="2" s="1"/>
  <c r="F6" i="2" s="1"/>
  <c r="F7" i="2" s="1"/>
  <c r="C22" i="1"/>
  <c r="E2" i="1"/>
  <c r="E4" i="1"/>
  <c r="C12" i="2"/>
  <c r="C6" i="5"/>
  <c r="P3" i="3"/>
  <c r="U3" i="3" s="1"/>
  <c r="V3" i="3" s="1"/>
  <c r="V18" i="3" s="1"/>
  <c r="R3" i="3"/>
  <c r="O3" i="3"/>
  <c r="P9" i="3"/>
  <c r="U9" i="3" s="1"/>
  <c r="V9" i="3" s="1"/>
  <c r="R9" i="3"/>
  <c r="O9" i="3"/>
  <c r="O18" i="3" s="1"/>
  <c r="I8" i="3"/>
  <c r="E3" i="3"/>
  <c r="M3" i="3" s="1"/>
  <c r="N3" i="3"/>
  <c r="Q3" i="3"/>
  <c r="S3" i="3"/>
  <c r="T3" i="3"/>
  <c r="I14" i="3"/>
  <c r="E9" i="3"/>
  <c r="M9" i="3"/>
  <c r="Y9" i="3" s="1"/>
  <c r="N9" i="3"/>
  <c r="Q9" i="3"/>
  <c r="S9" i="3"/>
  <c r="T9" i="3"/>
  <c r="F15" i="3"/>
  <c r="C15" i="3"/>
  <c r="E15" i="3"/>
  <c r="D3" i="3"/>
  <c r="D15" i="3" s="1"/>
  <c r="O16" i="3"/>
  <c r="B16" i="2"/>
  <c r="C15" i="2"/>
  <c r="B15" i="2"/>
  <c r="B14" i="2"/>
  <c r="C13" i="2"/>
  <c r="B13" i="2"/>
  <c r="C24" i="1"/>
  <c r="C27" i="1" s="1"/>
  <c r="D14" i="2"/>
  <c r="F5" i="2"/>
  <c r="C25" i="1"/>
  <c r="B22" i="1"/>
  <c r="C34" i="1"/>
  <c r="C28" i="1"/>
  <c r="C29" i="1"/>
  <c r="C30" i="1" s="1"/>
  <c r="C21" i="7" l="1"/>
  <c r="C20" i="7"/>
  <c r="Z3" i="3"/>
  <c r="W3" i="3"/>
  <c r="W18" i="3" s="1"/>
  <c r="X18" i="3" s="1"/>
  <c r="Y3" i="3"/>
  <c r="Y18" i="3" s="1"/>
  <c r="E9" i="2"/>
  <c r="F9" i="2"/>
  <c r="C31" i="1"/>
  <c r="C32" i="1"/>
  <c r="W9" i="3"/>
  <c r="Z9" i="3"/>
  <c r="Z18" i="3" l="1"/>
  <c r="AA18" i="3" s="1"/>
</calcChain>
</file>

<file path=xl/comments1.xml><?xml version="1.0" encoding="utf-8"?>
<comments xmlns="http://schemas.openxmlformats.org/spreadsheetml/2006/main">
  <authors>
    <author>Escuela de Biología</author>
    <author>Oscar Ramírez</author>
    <author>Windows User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 xml:space="preserve">Escuela de Biología:
Cantidad de Parcelas
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Escuela de Biología:</t>
        </r>
        <r>
          <rPr>
            <sz val="8"/>
            <color indexed="81"/>
            <rFont val="Tahoma"/>
            <family val="2"/>
          </rPr>
          <t xml:space="preserve">
Totalidad de área de estudio a estimar / área promedio muestreada
(Area disponible para muestreo)</t>
        </r>
      </text>
    </comment>
    <comment ref="F4" authorId="1" shapeId="0">
      <text>
        <r>
          <rPr>
            <b/>
            <sz val="9"/>
            <color indexed="81"/>
            <rFont val="Tahoma"/>
            <family val="2"/>
          </rPr>
          <t>Oscar Ramírez:</t>
        </r>
        <r>
          <rPr>
            <sz val="9"/>
            <color indexed="81"/>
            <rFont val="Tahoma"/>
            <family val="2"/>
          </rPr>
          <t xml:space="preserve">
Area Total
</t>
        </r>
      </text>
    </comment>
    <comment ref="F6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Primera parte del calculo de la varianza</t>
        </r>
      </text>
    </comment>
  </commentList>
</comments>
</file>

<file path=xl/comments2.xml><?xml version="1.0" encoding="utf-8"?>
<comments xmlns="http://schemas.openxmlformats.org/spreadsheetml/2006/main">
  <authors>
    <author>Oscar Ramírez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Oscar Ramírez:</t>
        </r>
        <r>
          <rPr>
            <sz val="8"/>
            <color indexed="81"/>
            <rFont val="Tahoma"/>
            <family val="2"/>
          </rPr>
          <t xml:space="preserve">
Area total del estrato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</rPr>
          <t>Oscar Ramírez:</t>
        </r>
        <r>
          <rPr>
            <sz val="8"/>
            <color indexed="81"/>
            <rFont val="Tahoma"/>
            <family val="2"/>
          </rPr>
          <t xml:space="preserve">
Sumatoria de cada una las parcelas muestreadas dentro del estrato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Oscar Ramírez:</t>
        </r>
        <r>
          <rPr>
            <sz val="8"/>
            <color indexed="81"/>
            <rFont val="Tahoma"/>
            <family val="2"/>
          </rPr>
          <t xml:space="preserve">
Promedio de las parcelas muestreadas / Área total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Oscar Ramírez:</t>
        </r>
        <r>
          <rPr>
            <sz val="8"/>
            <color indexed="81"/>
            <rFont val="Tahoma"/>
            <family val="2"/>
          </rPr>
          <t xml:space="preserve">
Numero de parcelas muestreadas</t>
        </r>
      </text>
    </comment>
  </commentList>
</comments>
</file>

<file path=xl/sharedStrings.xml><?xml version="1.0" encoding="utf-8"?>
<sst xmlns="http://schemas.openxmlformats.org/spreadsheetml/2006/main" count="133" uniqueCount="104">
  <si>
    <t>Parcela</t>
  </si>
  <si>
    <t>Abundancia</t>
  </si>
  <si>
    <t>área/ha</t>
  </si>
  <si>
    <t>A</t>
  </si>
  <si>
    <t>a</t>
  </si>
  <si>
    <t>Área total abarcada en los muestreos</t>
  </si>
  <si>
    <t>M</t>
  </si>
  <si>
    <t>m</t>
  </si>
  <si>
    <t># de parcelas muestreadas</t>
  </si>
  <si>
    <t>Total</t>
  </si>
  <si>
    <t>xbar</t>
  </si>
  <si>
    <t>Promedio muestral</t>
  </si>
  <si>
    <t>var</t>
  </si>
  <si>
    <t>Nhat</t>
  </si>
  <si>
    <t>Tamaño de la Población</t>
  </si>
  <si>
    <t>v(Nhat)</t>
  </si>
  <si>
    <t>Varianza de la Población</t>
  </si>
  <si>
    <t>sd</t>
  </si>
  <si>
    <t>Desviación estàndar de la Población</t>
  </si>
  <si>
    <t>+-</t>
  </si>
  <si>
    <t>Multiplicado por 1.96 obtiene IC de la Z</t>
  </si>
  <si>
    <t>lower</t>
  </si>
  <si>
    <t>Limite inferior del Tamaño de población</t>
  </si>
  <si>
    <t>upper</t>
  </si>
  <si>
    <t>Limite superior del Tamaño de población</t>
  </si>
  <si>
    <t>cv</t>
  </si>
  <si>
    <t>Coeficiente de Variación</t>
  </si>
  <si>
    <t>tamaño de las parcelas</t>
  </si>
  <si>
    <t>i</t>
  </si>
  <si>
    <t>Área total (ha)</t>
  </si>
  <si>
    <t xml:space="preserve"> </t>
  </si>
  <si>
    <t>Cálculo parcelas disponibles para muestreo</t>
  </si>
  <si>
    <t>Plot</t>
  </si>
  <si>
    <t>count</t>
  </si>
  <si>
    <t>area/ha</t>
  </si>
  <si>
    <t>Ratio Estimator</t>
  </si>
  <si>
    <t>N_hat</t>
  </si>
  <si>
    <t>Abundancia estimada</t>
  </si>
  <si>
    <t>fpc</t>
  </si>
  <si>
    <t>var_Nhat</t>
  </si>
  <si>
    <t>95%Ci</t>
  </si>
  <si>
    <t>Intervalo de confianza al 95%</t>
  </si>
  <si>
    <t>Totals</t>
  </si>
  <si>
    <t>Dhat</t>
  </si>
  <si>
    <t>mean</t>
  </si>
  <si>
    <t>Densidad</t>
  </si>
  <si>
    <t>variance</t>
  </si>
  <si>
    <t>covariance</t>
  </si>
  <si>
    <t>plot size</t>
  </si>
  <si>
    <t>Summary statistics</t>
  </si>
  <si>
    <t>area</t>
  </si>
  <si>
    <t>separate</t>
  </si>
  <si>
    <t>combined</t>
  </si>
  <si>
    <t>Estrato</t>
  </si>
  <si>
    <t>plot</t>
  </si>
  <si>
    <t>Stratum</t>
  </si>
  <si>
    <t>covar</t>
  </si>
  <si>
    <t>my</t>
  </si>
  <si>
    <t>ma</t>
  </si>
  <si>
    <t>total area</t>
  </si>
  <si>
    <t>Estimado de la abundancia</t>
  </si>
  <si>
    <t>Varianza de la población</t>
  </si>
  <si>
    <t>Muestreo aleatorio Simple</t>
  </si>
  <si>
    <t>el porcentaje de precisión</t>
  </si>
  <si>
    <t>Q</t>
  </si>
  <si>
    <t>número de unidades de muestreo en el estudio preliminar</t>
  </si>
  <si>
    <r>
      <t>m</t>
    </r>
    <r>
      <rPr>
        <sz val="8"/>
        <color theme="1"/>
        <rFont val="Calibri"/>
        <family val="2"/>
        <scheme val="minor"/>
      </rPr>
      <t>1</t>
    </r>
  </si>
  <si>
    <t>media estimada de esta muestra preliminar</t>
  </si>
  <si>
    <r>
      <rPr>
        <sz val="12"/>
        <color theme="1"/>
        <rFont val="Calibri"/>
        <family val="2"/>
        <scheme val="minor"/>
      </rPr>
      <t>Ñ</t>
    </r>
    <r>
      <rPr>
        <sz val="8"/>
        <color theme="1"/>
        <rFont val="Calibri"/>
        <family val="2"/>
        <scheme val="minor"/>
      </rPr>
      <t>1</t>
    </r>
  </si>
  <si>
    <t>desviación estándar estimada a partir de esta muestra preliminar</t>
  </si>
  <si>
    <r>
      <t>s</t>
    </r>
    <r>
      <rPr>
        <sz val="8"/>
        <color theme="1"/>
        <rFont val="Calibri"/>
        <family val="2"/>
        <scheme val="minor"/>
      </rPr>
      <t>1</t>
    </r>
  </si>
  <si>
    <t>tamaño minimo de muestra</t>
  </si>
  <si>
    <t>m0</t>
  </si>
  <si>
    <t>Varianza muestral</t>
  </si>
  <si>
    <t>pilot sample m_0</t>
  </si>
  <si>
    <t>desired CV</t>
  </si>
  <si>
    <t>sample mean</t>
  </si>
  <si>
    <t>sample variance</t>
  </si>
  <si>
    <t>total sample</t>
  </si>
  <si>
    <t>additional samples needed</t>
  </si>
  <si>
    <t>Según Cochran (1977)</t>
  </si>
  <si>
    <t>Nest</t>
  </si>
  <si>
    <t>from air</t>
  </si>
  <si>
    <t>from ground</t>
  </si>
  <si>
    <t>both</t>
  </si>
  <si>
    <t>var(Nhat)</t>
  </si>
  <si>
    <t>beta_x</t>
  </si>
  <si>
    <t>Detección desde el aire</t>
  </si>
  <si>
    <t>beta_y</t>
  </si>
  <si>
    <t>Detección desde el suelo</t>
  </si>
  <si>
    <t>Esfuerzo de muestreo (requiere que sea el mismo), si no hay que ajustar la ecuación</t>
  </si>
  <si>
    <t>sample</t>
  </si>
  <si>
    <t>observer</t>
  </si>
  <si>
    <t>p_1</t>
  </si>
  <si>
    <t>Probabilidades de captura, modelo binomial condicional obs. 1</t>
  </si>
  <si>
    <t>p_2</t>
  </si>
  <si>
    <t>Probabilidades de captura, modelo binomial condicional obs 2</t>
  </si>
  <si>
    <t>p</t>
  </si>
  <si>
    <t>Probabilidad de detección</t>
  </si>
  <si>
    <t>var(p)</t>
  </si>
  <si>
    <t>Varianza condicional en la detección total</t>
  </si>
  <si>
    <t>N</t>
  </si>
  <si>
    <t>Estimadoii de la Abundancia</t>
  </si>
  <si>
    <t>var(N)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</si>
</sst>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3"/>
      <name val="Arial"/>
      <family val="2"/>
    </font>
    <font>
      <sz val="10"/>
      <color indexed="44"/>
      <name val="Arial"/>
      <family val="2"/>
    </font>
    <font>
      <sz val="10"/>
      <name val="Arial"/>
      <family val="2"/>
    </font>
    <font>
      <sz val="10"/>
      <color indexed="50"/>
      <name val="Arial"/>
      <family val="2"/>
    </font>
    <font>
      <sz val="10"/>
      <color indexed="13"/>
      <name val="Arial"/>
      <family val="2"/>
    </font>
    <font>
      <sz val="10"/>
      <color indexed="53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4" fillId="0" borderId="0" xfId="0" applyFont="1"/>
    <xf numFmtId="0" fontId="5" fillId="4" borderId="0" xfId="0" applyFont="1" applyFill="1"/>
    <xf numFmtId="2" fontId="0" fillId="0" borderId="0" xfId="0" applyNumberFormat="1"/>
    <xf numFmtId="0" fontId="6" fillId="4" borderId="0" xfId="0" applyFont="1" applyFill="1"/>
    <xf numFmtId="0" fontId="0" fillId="0" borderId="0" xfId="0" quotePrefix="1"/>
    <xf numFmtId="0" fontId="7" fillId="4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10" borderId="0" xfId="0" applyNumberFormat="1" applyFill="1"/>
    <xf numFmtId="1" fontId="0" fillId="0" borderId="0" xfId="0" applyNumberFormat="1"/>
    <xf numFmtId="1" fontId="0" fillId="11" borderId="0" xfId="0" applyNumberFormat="1" applyFill="1"/>
    <xf numFmtId="0" fontId="0" fillId="11" borderId="0" xfId="0" applyFill="1"/>
    <xf numFmtId="1" fontId="0" fillId="13" borderId="0" xfId="0" applyNumberFormat="1" applyFill="1"/>
    <xf numFmtId="0" fontId="6" fillId="14" borderId="0" xfId="0" applyFont="1" applyFill="1"/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2" fontId="0" fillId="11" borderId="0" xfId="0" applyNumberFormat="1" applyFill="1" applyAlignment="1">
      <alignment horizontal="center"/>
    </xf>
    <xf numFmtId="0" fontId="0" fillId="15" borderId="0" xfId="0" applyFill="1"/>
    <xf numFmtId="2" fontId="0" fillId="11" borderId="0" xfId="0" applyNumberFormat="1" applyFill="1"/>
    <xf numFmtId="164" fontId="0" fillId="0" borderId="0" xfId="0" applyNumberFormat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10</xdr:row>
      <xdr:rowOff>28575</xdr:rowOff>
    </xdr:from>
    <xdr:to>
      <xdr:col>0</xdr:col>
      <xdr:colOff>2800108</xdr:colOff>
      <xdr:row>15</xdr:row>
      <xdr:rowOff>28456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943100"/>
          <a:ext cx="1933333" cy="9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18</xdr:row>
      <xdr:rowOff>47625</xdr:rowOff>
    </xdr:from>
    <xdr:to>
      <xdr:col>6</xdr:col>
      <xdr:colOff>485459</xdr:colOff>
      <xdr:row>21</xdr:row>
      <xdr:rowOff>47554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50" y="3476625"/>
          <a:ext cx="2523809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5" zoomScaleNormal="85" zoomScalePageLayoutView="90" workbookViewId="0">
      <selection activeCell="F29" sqref="F29"/>
    </sheetView>
  </sheetViews>
  <sheetFormatPr baseColWidth="10" defaultRowHeight="15" x14ac:dyDescent="0.25"/>
  <cols>
    <col min="2" max="3" width="10.85546875" style="26"/>
    <col min="4" max="4" width="34" customWidth="1"/>
    <col min="8" max="18" width="4.85546875" customWidth="1"/>
  </cols>
  <sheetData>
    <row r="1" spans="1:18" x14ac:dyDescent="0.25">
      <c r="A1" s="1" t="s">
        <v>0</v>
      </c>
      <c r="B1" s="24" t="s">
        <v>1</v>
      </c>
      <c r="C1" s="24" t="s">
        <v>2</v>
      </c>
      <c r="E1" s="16">
        <v>2000</v>
      </c>
      <c r="F1" s="2" t="s">
        <v>3</v>
      </c>
      <c r="G1" s="33" t="s">
        <v>29</v>
      </c>
      <c r="H1" s="33"/>
      <c r="I1" s="3"/>
      <c r="J1" s="3"/>
    </row>
    <row r="2" spans="1:18" x14ac:dyDescent="0.25">
      <c r="A2" s="4">
        <v>1</v>
      </c>
      <c r="B2" s="25">
        <v>1</v>
      </c>
      <c r="C2" s="25">
        <v>10</v>
      </c>
      <c r="E2" s="10">
        <f>E5*E6</f>
        <v>200</v>
      </c>
      <c r="F2" s="2" t="s">
        <v>4</v>
      </c>
      <c r="G2" s="33" t="s">
        <v>5</v>
      </c>
      <c r="H2" s="33"/>
      <c r="I2" s="33"/>
      <c r="J2" s="33"/>
      <c r="K2" s="33"/>
    </row>
    <row r="3" spans="1:18" x14ac:dyDescent="0.25">
      <c r="A3" s="4">
        <v>2</v>
      </c>
      <c r="B3" s="25">
        <v>2</v>
      </c>
      <c r="C3" s="25">
        <v>10</v>
      </c>
      <c r="G3" s="3"/>
      <c r="H3" s="3"/>
      <c r="I3" s="3"/>
      <c r="J3" s="3"/>
    </row>
    <row r="4" spans="1:18" x14ac:dyDescent="0.25">
      <c r="A4" s="4">
        <v>3</v>
      </c>
      <c r="B4" s="25">
        <v>0</v>
      </c>
      <c r="C4" s="25">
        <v>10</v>
      </c>
      <c r="E4" s="14">
        <f>E1/E2*E5</f>
        <v>200</v>
      </c>
      <c r="F4" s="5" t="s">
        <v>6</v>
      </c>
      <c r="G4" s="34" t="s">
        <v>31</v>
      </c>
      <c r="H4" s="34"/>
      <c r="I4" s="34"/>
      <c r="J4" s="34"/>
    </row>
    <row r="5" spans="1:18" x14ac:dyDescent="0.25">
      <c r="A5" s="4">
        <v>4</v>
      </c>
      <c r="B5" s="25">
        <v>3</v>
      </c>
      <c r="C5" s="25">
        <v>10</v>
      </c>
      <c r="E5" s="16">
        <v>20</v>
      </c>
      <c r="F5" s="5" t="s">
        <v>7</v>
      </c>
      <c r="G5" s="34" t="s">
        <v>8</v>
      </c>
      <c r="H5" s="34"/>
      <c r="I5" s="34"/>
      <c r="J5" s="34"/>
    </row>
    <row r="6" spans="1:18" x14ac:dyDescent="0.25">
      <c r="A6" s="4">
        <v>5</v>
      </c>
      <c r="B6" s="25">
        <v>2</v>
      </c>
      <c r="C6" s="25">
        <v>10</v>
      </c>
      <c r="E6" s="16">
        <v>10</v>
      </c>
      <c r="F6" s="15" t="s">
        <v>28</v>
      </c>
      <c r="G6" s="34" t="s">
        <v>27</v>
      </c>
      <c r="H6" s="34"/>
      <c r="I6" s="34"/>
      <c r="J6" s="34"/>
    </row>
    <row r="7" spans="1:18" x14ac:dyDescent="0.25">
      <c r="A7" s="4">
        <v>6</v>
      </c>
      <c r="B7" s="25">
        <v>4</v>
      </c>
      <c r="C7" s="25">
        <v>10</v>
      </c>
      <c r="E7" t="s">
        <v>30</v>
      </c>
    </row>
    <row r="8" spans="1:18" x14ac:dyDescent="0.25">
      <c r="A8" s="4">
        <v>7</v>
      </c>
      <c r="B8" s="25">
        <v>1</v>
      </c>
      <c r="C8" s="25">
        <v>10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4">
        <v>8</v>
      </c>
      <c r="B9" s="25">
        <v>0</v>
      </c>
      <c r="C9" s="25">
        <v>10</v>
      </c>
      <c r="H9" s="6"/>
      <c r="I9" s="7"/>
      <c r="J9" s="6"/>
      <c r="K9" s="6"/>
      <c r="L9" s="7"/>
      <c r="M9" s="6"/>
      <c r="N9" s="7"/>
      <c r="O9" s="6"/>
      <c r="P9" s="6"/>
      <c r="Q9" s="7"/>
      <c r="R9" s="6"/>
    </row>
    <row r="10" spans="1:18" x14ac:dyDescent="0.25">
      <c r="A10" s="4">
        <v>9</v>
      </c>
      <c r="B10" s="25">
        <v>1</v>
      </c>
      <c r="C10" s="25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4">
        <v>10</v>
      </c>
      <c r="B11" s="25">
        <v>2</v>
      </c>
      <c r="C11" s="25">
        <v>10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4">
        <v>11</v>
      </c>
      <c r="B12" s="25">
        <v>3</v>
      </c>
      <c r="C12" s="25">
        <v>10</v>
      </c>
      <c r="H12" s="6"/>
      <c r="I12" s="6"/>
      <c r="J12" s="6"/>
      <c r="K12" s="6"/>
      <c r="L12" s="7"/>
      <c r="M12" s="6"/>
      <c r="N12" s="6"/>
      <c r="O12" s="6"/>
      <c r="P12" s="6"/>
      <c r="Q12" s="7"/>
      <c r="R12" s="6"/>
    </row>
    <row r="13" spans="1:18" x14ac:dyDescent="0.25">
      <c r="A13" s="4">
        <v>12</v>
      </c>
      <c r="B13" s="25">
        <v>2</v>
      </c>
      <c r="C13" s="25">
        <v>10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4">
        <v>13</v>
      </c>
      <c r="B14" s="25">
        <v>1</v>
      </c>
      <c r="C14" s="25">
        <v>10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5">
      <c r="A15" s="4">
        <v>14</v>
      </c>
      <c r="B15" s="25">
        <v>3</v>
      </c>
      <c r="C15" s="25">
        <v>10</v>
      </c>
      <c r="H15" s="7"/>
      <c r="I15" s="6"/>
      <c r="J15" s="6"/>
      <c r="K15" s="6"/>
      <c r="L15" s="6"/>
      <c r="M15" s="7"/>
      <c r="N15" s="6"/>
      <c r="O15" s="6"/>
      <c r="P15" s="6"/>
      <c r="Q15" s="6"/>
      <c r="R15" s="6"/>
    </row>
    <row r="16" spans="1:18" x14ac:dyDescent="0.25">
      <c r="A16" s="4">
        <v>15</v>
      </c>
      <c r="B16" s="25">
        <v>0</v>
      </c>
      <c r="C16" s="25">
        <v>10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4">
        <v>16</v>
      </c>
      <c r="B17" s="25">
        <v>2</v>
      </c>
      <c r="C17" s="25">
        <v>10</v>
      </c>
      <c r="H17" s="6"/>
      <c r="I17" s="6"/>
      <c r="J17" s="7"/>
      <c r="K17" s="6"/>
      <c r="L17" s="6"/>
      <c r="M17" s="6"/>
      <c r="N17" s="6"/>
      <c r="O17" s="7"/>
      <c r="P17" s="6"/>
      <c r="Q17" s="6"/>
      <c r="R17" s="6"/>
    </row>
    <row r="18" spans="1:18" x14ac:dyDescent="0.25">
      <c r="A18" s="4">
        <v>17</v>
      </c>
      <c r="B18" s="25">
        <v>4</v>
      </c>
      <c r="C18" s="25">
        <v>10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4">
        <v>18</v>
      </c>
      <c r="B19" s="25">
        <v>1</v>
      </c>
      <c r="C19" s="25">
        <v>10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4">
        <v>19</v>
      </c>
      <c r="B20" s="25">
        <v>0</v>
      </c>
      <c r="C20" s="25">
        <v>10</v>
      </c>
      <c r="H20" s="7"/>
      <c r="I20" s="6"/>
      <c r="J20" s="6"/>
      <c r="K20" s="6"/>
      <c r="L20" s="7"/>
      <c r="M20" s="7"/>
      <c r="N20" s="6"/>
      <c r="O20" s="6"/>
      <c r="P20" s="6"/>
      <c r="Q20" s="7"/>
      <c r="R20" s="6"/>
    </row>
    <row r="21" spans="1:18" x14ac:dyDescent="0.25">
      <c r="A21" s="4">
        <v>20</v>
      </c>
      <c r="B21" s="25">
        <v>1</v>
      </c>
      <c r="C21" s="25">
        <v>10</v>
      </c>
      <c r="H21" s="6"/>
      <c r="I21" s="6"/>
      <c r="J21" s="7"/>
      <c r="K21" s="6"/>
      <c r="L21" s="6"/>
      <c r="M21" s="6"/>
      <c r="N21" s="6"/>
      <c r="O21" s="7"/>
      <c r="P21" s="6"/>
      <c r="Q21" s="6"/>
      <c r="R21" s="6"/>
    </row>
    <row r="22" spans="1:18" x14ac:dyDescent="0.25">
      <c r="B22" s="26">
        <f>SUM(B2:B21)</f>
        <v>33</v>
      </c>
      <c r="C22" s="26">
        <f>SUM(C2:C21)</f>
        <v>200</v>
      </c>
      <c r="D22" s="8" t="s">
        <v>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B24" s="3" t="s">
        <v>10</v>
      </c>
      <c r="C24" s="26">
        <f>AVERAGE(B2:B21)</f>
        <v>1.65</v>
      </c>
      <c r="D24" s="9" t="s">
        <v>11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 x14ac:dyDescent="0.25">
      <c r="B25" s="3" t="s">
        <v>12</v>
      </c>
      <c r="C25" s="27">
        <f>VAR(B2:B21)</f>
        <v>1.607894736842105</v>
      </c>
      <c r="D25" s="9" t="s">
        <v>73</v>
      </c>
      <c r="H25" s="6"/>
      <c r="I25" s="6"/>
      <c r="J25" s="7"/>
      <c r="K25" s="6"/>
      <c r="L25" s="6"/>
      <c r="M25" s="6"/>
      <c r="N25" s="6"/>
      <c r="O25" s="7"/>
      <c r="P25" s="6"/>
      <c r="Q25" s="6"/>
      <c r="R25" s="6"/>
    </row>
    <row r="26" spans="1:18" x14ac:dyDescent="0.25">
      <c r="B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B27" s="3" t="s">
        <v>13</v>
      </c>
      <c r="C27" s="29">
        <f>C24*E4</f>
        <v>330</v>
      </c>
      <c r="D27" s="11" t="s">
        <v>14</v>
      </c>
      <c r="H27" s="6"/>
      <c r="I27" s="7"/>
      <c r="J27" s="6"/>
      <c r="K27" s="6"/>
      <c r="L27" s="6"/>
      <c r="M27" s="6"/>
      <c r="N27" s="7"/>
      <c r="O27" s="6"/>
      <c r="P27" s="6"/>
      <c r="Q27" s="6"/>
      <c r="R27" s="6"/>
    </row>
    <row r="28" spans="1:18" x14ac:dyDescent="0.25">
      <c r="B28" s="3" t="s">
        <v>15</v>
      </c>
      <c r="C28" s="27">
        <f>E4^2*C25/E5*(1-E5/E4)</f>
        <v>2894.2105263157891</v>
      </c>
      <c r="D28" s="11" t="s">
        <v>16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B29" s="3" t="s">
        <v>17</v>
      </c>
      <c r="C29" s="27">
        <f>SQRT(C28)</f>
        <v>53.797867302670923</v>
      </c>
      <c r="D29" s="11" t="s">
        <v>18</v>
      </c>
    </row>
    <row r="30" spans="1:18" x14ac:dyDescent="0.25">
      <c r="B30" s="28" t="s">
        <v>19</v>
      </c>
      <c r="C30" s="29">
        <f>1.96*C29</f>
        <v>105.443819913235</v>
      </c>
      <c r="D30" s="11" t="s">
        <v>20</v>
      </c>
    </row>
    <row r="31" spans="1:18" x14ac:dyDescent="0.25">
      <c r="B31" s="3" t="s">
        <v>21</v>
      </c>
      <c r="C31" s="27">
        <f>C27-C30</f>
        <v>224.55618008676498</v>
      </c>
      <c r="D31" s="11" t="s">
        <v>22</v>
      </c>
    </row>
    <row r="32" spans="1:18" x14ac:dyDescent="0.25">
      <c r="B32" s="3" t="s">
        <v>23</v>
      </c>
      <c r="C32" s="27">
        <f>C27+C30</f>
        <v>435.44381991323502</v>
      </c>
      <c r="D32" s="11" t="s">
        <v>24</v>
      </c>
    </row>
    <row r="33" spans="2:4" x14ac:dyDescent="0.25">
      <c r="B33" s="3"/>
    </row>
    <row r="34" spans="2:4" x14ac:dyDescent="0.25">
      <c r="B34" s="3" t="s">
        <v>25</v>
      </c>
      <c r="C34" s="27">
        <f>SQRT(C25/20)/C24</f>
        <v>0.17184221609690825</v>
      </c>
      <c r="D34" s="13" t="s">
        <v>26</v>
      </c>
    </row>
  </sheetData>
  <mergeCells count="5">
    <mergeCell ref="G1:H1"/>
    <mergeCell ref="G2:K2"/>
    <mergeCell ref="G4:J4"/>
    <mergeCell ref="G5:J5"/>
    <mergeCell ref="G6:J6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workbookViewId="0">
      <selection activeCell="F9" sqref="F9"/>
    </sheetView>
  </sheetViews>
  <sheetFormatPr baseColWidth="10" defaultRowHeight="15" x14ac:dyDescent="0.25"/>
  <cols>
    <col min="7" max="7" width="22.28515625" customWidth="1"/>
  </cols>
  <sheetData>
    <row r="1" spans="1:7" x14ac:dyDescent="0.25">
      <c r="A1" t="s">
        <v>32</v>
      </c>
      <c r="B1" t="s">
        <v>33</v>
      </c>
      <c r="C1" s="8" t="s">
        <v>34</v>
      </c>
      <c r="E1" t="s">
        <v>35</v>
      </c>
    </row>
    <row r="2" spans="1:7" x14ac:dyDescent="0.25">
      <c r="A2">
        <v>1</v>
      </c>
      <c r="B2">
        <v>15</v>
      </c>
      <c r="C2">
        <v>2</v>
      </c>
      <c r="E2" t="s">
        <v>7</v>
      </c>
      <c r="F2" s="16">
        <v>10</v>
      </c>
    </row>
    <row r="3" spans="1:7" x14ac:dyDescent="0.25">
      <c r="A3">
        <v>2</v>
      </c>
      <c r="B3">
        <v>8</v>
      </c>
      <c r="C3">
        <v>1</v>
      </c>
      <c r="E3" t="s">
        <v>6</v>
      </c>
      <c r="F3" s="10">
        <f>F4/C14</f>
        <v>71.428571428571431</v>
      </c>
    </row>
    <row r="4" spans="1:7" x14ac:dyDescent="0.25">
      <c r="A4">
        <v>3</v>
      </c>
      <c r="B4">
        <v>6</v>
      </c>
      <c r="C4">
        <v>1</v>
      </c>
      <c r="E4" t="s">
        <v>3</v>
      </c>
      <c r="F4" s="17">
        <v>100</v>
      </c>
      <c r="G4" s="18"/>
    </row>
    <row r="5" spans="1:7" x14ac:dyDescent="0.25">
      <c r="A5">
        <v>4</v>
      </c>
      <c r="B5">
        <v>8</v>
      </c>
      <c r="C5">
        <v>1</v>
      </c>
      <c r="E5" t="s">
        <v>36</v>
      </c>
      <c r="F5" s="19">
        <f>B14/C14*F4</f>
        <v>535.71428571428578</v>
      </c>
      <c r="G5" s="20" t="s">
        <v>37</v>
      </c>
    </row>
    <row r="6" spans="1:7" x14ac:dyDescent="0.25">
      <c r="A6">
        <v>5</v>
      </c>
      <c r="B6">
        <v>7</v>
      </c>
      <c r="C6">
        <v>2</v>
      </c>
      <c r="E6" t="s">
        <v>38</v>
      </c>
      <c r="F6" s="18">
        <f>F3^2*(1-F2/F3)/F2</f>
        <v>438.77551020408163</v>
      </c>
      <c r="G6" s="18"/>
    </row>
    <row r="7" spans="1:7" x14ac:dyDescent="0.25">
      <c r="A7">
        <v>6</v>
      </c>
      <c r="B7">
        <v>3</v>
      </c>
      <c r="C7">
        <v>1</v>
      </c>
      <c r="E7" t="s">
        <v>39</v>
      </c>
      <c r="F7" s="18">
        <f>F6*(B15+D14^2*C15-2*D14*B16)</f>
        <v>3479.8579295663817</v>
      </c>
      <c r="G7" s="18"/>
    </row>
    <row r="8" spans="1:7" x14ac:dyDescent="0.25">
      <c r="A8">
        <v>7</v>
      </c>
      <c r="B8">
        <v>3</v>
      </c>
      <c r="C8">
        <v>1</v>
      </c>
      <c r="E8" s="35" t="s">
        <v>40</v>
      </c>
      <c r="F8" s="35"/>
      <c r="G8" s="18"/>
    </row>
    <row r="9" spans="1:7" x14ac:dyDescent="0.25">
      <c r="A9">
        <v>8</v>
      </c>
      <c r="B9">
        <v>3</v>
      </c>
      <c r="C9">
        <v>1</v>
      </c>
      <c r="E9" s="21">
        <f>$F5-1.96*SQRT($F7)</f>
        <v>420.09325725396542</v>
      </c>
      <c r="F9" s="21">
        <f>$F5+1.96*SQRT($F7)</f>
        <v>651.33531417460608</v>
      </c>
      <c r="G9" s="18" t="s">
        <v>41</v>
      </c>
    </row>
    <row r="10" spans="1:7" x14ac:dyDescent="0.25">
      <c r="A10">
        <v>9</v>
      </c>
      <c r="B10">
        <v>9</v>
      </c>
      <c r="C10">
        <v>2</v>
      </c>
    </row>
    <row r="11" spans="1:7" x14ac:dyDescent="0.25">
      <c r="A11">
        <v>10</v>
      </c>
      <c r="B11">
        <v>13</v>
      </c>
      <c r="C11">
        <v>2</v>
      </c>
    </row>
    <row r="12" spans="1:7" x14ac:dyDescent="0.25">
      <c r="C12">
        <f>SUM(C2:C11)</f>
        <v>14</v>
      </c>
    </row>
    <row r="13" spans="1:7" x14ac:dyDescent="0.25">
      <c r="A13" t="s">
        <v>42</v>
      </c>
      <c r="B13">
        <f>SUM(B2:B11)</f>
        <v>75</v>
      </c>
      <c r="C13">
        <f>SUM(C2:C11)</f>
        <v>14</v>
      </c>
      <c r="D13" t="s">
        <v>43</v>
      </c>
    </row>
    <row r="14" spans="1:7" x14ac:dyDescent="0.25">
      <c r="A14" t="s">
        <v>44</v>
      </c>
      <c r="B14" s="10">
        <f>AVERAGE(B2:B11)</f>
        <v>7.5</v>
      </c>
      <c r="C14" s="10">
        <f>AVERAGE(C2:C11)</f>
        <v>1.4</v>
      </c>
      <c r="D14" s="31">
        <f>B14/C14</f>
        <v>5.3571428571428577</v>
      </c>
      <c r="E14" s="20" t="s">
        <v>45</v>
      </c>
      <c r="F14" t="s">
        <v>30</v>
      </c>
    </row>
    <row r="15" spans="1:7" x14ac:dyDescent="0.25">
      <c r="A15" t="s">
        <v>46</v>
      </c>
      <c r="B15" s="10">
        <f>VAR(B2:B11)</f>
        <v>16.944444444444443</v>
      </c>
      <c r="C15" s="10">
        <f>VAR(C2:C11)</f>
        <v>0.2666666666666665</v>
      </c>
      <c r="D15" t="s">
        <v>30</v>
      </c>
    </row>
    <row r="16" spans="1:7" x14ac:dyDescent="0.25">
      <c r="A16" t="s">
        <v>47</v>
      </c>
      <c r="B16" s="10">
        <f>COVAR(B2:B11,C2:C11)*10/9</f>
        <v>1.5555555555555556</v>
      </c>
      <c r="C16" s="10"/>
    </row>
    <row r="17" spans="2:3" x14ac:dyDescent="0.25">
      <c r="C17" s="10"/>
    </row>
    <row r="20" spans="2:3" x14ac:dyDescent="0.25">
      <c r="B20" s="12"/>
    </row>
    <row r="21" spans="2:3" x14ac:dyDescent="0.25">
      <c r="C21" s="10"/>
    </row>
    <row r="22" spans="2:3" x14ac:dyDescent="0.25">
      <c r="C22" s="10"/>
    </row>
  </sheetData>
  <mergeCells count="1">
    <mergeCell ref="E8:F8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18"/>
  <sheetViews>
    <sheetView topLeftCell="H1" workbookViewId="0">
      <pane ySplit="900" activePane="bottomLeft"/>
      <selection activeCell="X20" sqref="X20"/>
      <selection pane="bottomLeft" activeCell="N3" sqref="N3"/>
    </sheetView>
  </sheetViews>
  <sheetFormatPr baseColWidth="10" defaultColWidth="9.140625" defaultRowHeight="15" x14ac:dyDescent="0.25"/>
  <cols>
    <col min="1" max="5" width="9.140625" customWidth="1"/>
    <col min="6" max="6" width="9.7109375" customWidth="1"/>
    <col min="7" max="7" width="9.140625" customWidth="1"/>
    <col min="8" max="8" width="10.7109375" bestFit="1" customWidth="1"/>
    <col min="9" max="21" width="9.140625" customWidth="1"/>
    <col min="22" max="22" width="11.42578125" customWidth="1"/>
  </cols>
  <sheetData>
    <row r="1" spans="2:27" x14ac:dyDescent="0.25">
      <c r="C1" t="s">
        <v>48</v>
      </c>
      <c r="D1">
        <v>10</v>
      </c>
      <c r="L1" t="s">
        <v>49</v>
      </c>
      <c r="P1" t="s">
        <v>33</v>
      </c>
      <c r="R1" t="s">
        <v>50</v>
      </c>
      <c r="V1" t="s">
        <v>51</v>
      </c>
      <c r="AA1" t="s">
        <v>52</v>
      </c>
    </row>
    <row r="2" spans="2:27" x14ac:dyDescent="0.25">
      <c r="B2" s="8" t="s">
        <v>53</v>
      </c>
      <c r="C2" t="s">
        <v>3</v>
      </c>
      <c r="D2" t="s">
        <v>4</v>
      </c>
      <c r="E2" t="s">
        <v>6</v>
      </c>
      <c r="F2" t="s">
        <v>7</v>
      </c>
      <c r="G2" t="s">
        <v>54</v>
      </c>
      <c r="H2" s="8" t="s">
        <v>1</v>
      </c>
      <c r="I2" t="s">
        <v>50</v>
      </c>
      <c r="L2" t="s">
        <v>55</v>
      </c>
      <c r="M2" t="s">
        <v>6</v>
      </c>
      <c r="N2" t="s">
        <v>7</v>
      </c>
      <c r="O2" t="s">
        <v>3</v>
      </c>
      <c r="P2" t="s">
        <v>44</v>
      </c>
      <c r="Q2" t="s">
        <v>12</v>
      </c>
      <c r="R2" t="s">
        <v>44</v>
      </c>
      <c r="S2" t="s">
        <v>12</v>
      </c>
      <c r="T2" t="s">
        <v>56</v>
      </c>
      <c r="U2" t="s">
        <v>43</v>
      </c>
      <c r="V2" t="s">
        <v>13</v>
      </c>
      <c r="W2" t="s">
        <v>12</v>
      </c>
      <c r="Y2" t="s">
        <v>57</v>
      </c>
      <c r="Z2" t="s">
        <v>58</v>
      </c>
      <c r="AA2" t="s">
        <v>43</v>
      </c>
    </row>
    <row r="3" spans="2:27" x14ac:dyDescent="0.25">
      <c r="B3">
        <v>1</v>
      </c>
      <c r="C3" s="16">
        <v>400</v>
      </c>
      <c r="D3">
        <f>SUM(I3:I7)</f>
        <v>80</v>
      </c>
      <c r="E3" s="18">
        <f>C3/I8</f>
        <v>25</v>
      </c>
      <c r="F3" s="30">
        <v>5</v>
      </c>
      <c r="G3">
        <v>1</v>
      </c>
      <c r="H3" s="16">
        <v>4</v>
      </c>
      <c r="I3" s="16">
        <v>20</v>
      </c>
      <c r="L3">
        <v>1</v>
      </c>
      <c r="M3" s="18">
        <f>ROUND(E3,0)</f>
        <v>25</v>
      </c>
      <c r="N3">
        <f>F3</f>
        <v>5</v>
      </c>
      <c r="O3">
        <f>C3</f>
        <v>400</v>
      </c>
      <c r="P3">
        <f>AVERAGE(H3:H7)</f>
        <v>4</v>
      </c>
      <c r="Q3">
        <f>VAR(H3:H7)</f>
        <v>2.5</v>
      </c>
      <c r="R3">
        <f>AVERAGE(I3:I7)</f>
        <v>16</v>
      </c>
      <c r="S3">
        <f>VAR(I3:I7)</f>
        <v>30</v>
      </c>
      <c r="T3">
        <f>COVAR(H3:H7,I3:I7)*F3/(F3-1)</f>
        <v>7.5</v>
      </c>
      <c r="U3">
        <f>P3/R3</f>
        <v>0.25</v>
      </c>
      <c r="V3">
        <f>U3*O3</f>
        <v>100</v>
      </c>
      <c r="W3">
        <f>$M3^2*(1-$N3/$M3)/$N3*($Q3+$U3^2*$S3-2*$U3*$T3)</f>
        <v>62.5</v>
      </c>
      <c r="Y3">
        <f>M3*P3</f>
        <v>100</v>
      </c>
      <c r="Z3">
        <f>M3*R3</f>
        <v>400</v>
      </c>
    </row>
    <row r="4" spans="2:27" x14ac:dyDescent="0.25">
      <c r="E4" s="18"/>
      <c r="G4">
        <v>2</v>
      </c>
      <c r="H4" s="16">
        <v>2</v>
      </c>
      <c r="I4" s="16">
        <v>10</v>
      </c>
      <c r="M4" s="18"/>
    </row>
    <row r="5" spans="2:27" x14ac:dyDescent="0.25">
      <c r="E5" s="18"/>
      <c r="G5">
        <v>3</v>
      </c>
      <c r="H5" s="16">
        <v>3</v>
      </c>
      <c r="I5" s="16">
        <v>10</v>
      </c>
      <c r="M5" s="18"/>
    </row>
    <row r="6" spans="2:27" x14ac:dyDescent="0.25">
      <c r="E6" s="18"/>
      <c r="G6">
        <v>4</v>
      </c>
      <c r="H6" s="16">
        <v>5</v>
      </c>
      <c r="I6" s="16">
        <v>20</v>
      </c>
      <c r="M6" s="18"/>
    </row>
    <row r="7" spans="2:27" x14ac:dyDescent="0.25">
      <c r="E7" s="18"/>
      <c r="G7">
        <v>5</v>
      </c>
      <c r="H7" s="16">
        <v>6</v>
      </c>
      <c r="I7" s="16">
        <v>20</v>
      </c>
      <c r="M7" s="18"/>
    </row>
    <row r="8" spans="2:27" x14ac:dyDescent="0.25">
      <c r="E8" s="18"/>
      <c r="G8" t="s">
        <v>30</v>
      </c>
      <c r="I8">
        <f>AVERAGE(I3:I7)</f>
        <v>16</v>
      </c>
      <c r="M8" s="18"/>
    </row>
    <row r="9" spans="2:27" x14ac:dyDescent="0.25">
      <c r="B9">
        <v>2</v>
      </c>
      <c r="C9">
        <v>500</v>
      </c>
      <c r="D9">
        <v>50</v>
      </c>
      <c r="E9" s="18">
        <f>C9/I14</f>
        <v>35.714285714285715</v>
      </c>
      <c r="F9">
        <v>5</v>
      </c>
      <c r="G9">
        <v>1</v>
      </c>
      <c r="H9">
        <v>1</v>
      </c>
      <c r="I9">
        <v>10</v>
      </c>
      <c r="L9">
        <v>2</v>
      </c>
      <c r="M9" s="18">
        <f>ROUND(E9,0)</f>
        <v>36</v>
      </c>
      <c r="N9">
        <f>F9</f>
        <v>5</v>
      </c>
      <c r="O9">
        <f>C9</f>
        <v>500</v>
      </c>
      <c r="P9">
        <f>AVERAGE(H9:H13)</f>
        <v>1.2</v>
      </c>
      <c r="Q9">
        <f>VAR(H9:H13)</f>
        <v>0.7</v>
      </c>
      <c r="R9">
        <f>AVERAGE(I9:I13)</f>
        <v>14</v>
      </c>
      <c r="S9">
        <f>VAR(I9:I13)</f>
        <v>30</v>
      </c>
      <c r="T9">
        <f>COVAR(H9:H13,I9:I13)*F9/(F9-1)</f>
        <v>4</v>
      </c>
      <c r="U9">
        <f>P9/R9</f>
        <v>8.5714285714285715E-2</v>
      </c>
      <c r="V9">
        <f>U9*O9</f>
        <v>42.857142857142854</v>
      </c>
      <c r="W9">
        <f>M9^2*(1-N9/M9)/N9*(Q9+U9^2*S9-2*U9*T9)</f>
        <v>52.383673469387737</v>
      </c>
      <c r="Y9">
        <f>M9*P9</f>
        <v>43.199999999999996</v>
      </c>
      <c r="Z9">
        <f>M9*R9</f>
        <v>504</v>
      </c>
    </row>
    <row r="10" spans="2:27" x14ac:dyDescent="0.25">
      <c r="E10" s="18"/>
      <c r="G10">
        <v>2</v>
      </c>
      <c r="H10">
        <v>2</v>
      </c>
      <c r="I10">
        <v>20</v>
      </c>
      <c r="M10" s="18"/>
    </row>
    <row r="11" spans="2:27" x14ac:dyDescent="0.25">
      <c r="E11" s="18"/>
      <c r="G11">
        <v>3</v>
      </c>
      <c r="H11">
        <v>0</v>
      </c>
      <c r="I11">
        <v>10</v>
      </c>
      <c r="M11" s="18"/>
    </row>
    <row r="12" spans="2:27" x14ac:dyDescent="0.25">
      <c r="E12" s="18"/>
      <c r="G12">
        <v>4</v>
      </c>
      <c r="H12">
        <v>1</v>
      </c>
      <c r="I12">
        <v>10</v>
      </c>
      <c r="M12" s="18"/>
    </row>
    <row r="13" spans="2:27" x14ac:dyDescent="0.25">
      <c r="E13" s="18"/>
      <c r="G13">
        <v>5</v>
      </c>
      <c r="H13">
        <v>2</v>
      </c>
      <c r="I13">
        <v>20</v>
      </c>
      <c r="M13" s="18"/>
    </row>
    <row r="14" spans="2:27" x14ac:dyDescent="0.25">
      <c r="E14" s="18"/>
      <c r="I14">
        <f>AVERAGE(I9:I13)</f>
        <v>14</v>
      </c>
      <c r="M14" s="18"/>
    </row>
    <row r="15" spans="2:27" x14ac:dyDescent="0.25">
      <c r="B15" t="s">
        <v>59</v>
      </c>
      <c r="C15">
        <f>SUM(C3:C14)</f>
        <v>900</v>
      </c>
      <c r="D15">
        <f>SUM(D3:D14)</f>
        <v>130</v>
      </c>
      <c r="E15">
        <f>C15/$D$1</f>
        <v>90</v>
      </c>
      <c r="F15">
        <f>SUM(F3:F14)</f>
        <v>10</v>
      </c>
    </row>
    <row r="16" spans="2:27" x14ac:dyDescent="0.25">
      <c r="N16" s="22" t="s">
        <v>59</v>
      </c>
      <c r="O16">
        <f>SUM(O3:O14)</f>
        <v>900</v>
      </c>
      <c r="V16" t="s">
        <v>30</v>
      </c>
    </row>
    <row r="17" spans="15:27" ht="39.75" customHeight="1" x14ac:dyDescent="0.25">
      <c r="V17" s="23" t="s">
        <v>60</v>
      </c>
      <c r="W17" s="23" t="s">
        <v>61</v>
      </c>
    </row>
    <row r="18" spans="15:27" x14ac:dyDescent="0.25">
      <c r="O18">
        <f>SUM(O3:O17)</f>
        <v>1800</v>
      </c>
      <c r="V18">
        <f>SUM(V3:V14)</f>
        <v>142.85714285714286</v>
      </c>
      <c r="W18">
        <f>SUM(W3:W14)</f>
        <v>114.88367346938773</v>
      </c>
      <c r="X18">
        <f>V18/W18</f>
        <v>1.243493862469579</v>
      </c>
      <c r="Y18">
        <f>SUM(Y3:Y14)</f>
        <v>143.19999999999999</v>
      </c>
      <c r="Z18">
        <f>SUM(Z3:Z14)</f>
        <v>904</v>
      </c>
      <c r="AA18" s="20">
        <f>Y18/Z18</f>
        <v>0.15840707964601769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4" workbookViewId="0">
      <selection activeCell="E11" sqref="E11"/>
    </sheetView>
  </sheetViews>
  <sheetFormatPr baseColWidth="10" defaultRowHeight="15" x14ac:dyDescent="0.25"/>
  <cols>
    <col min="1" max="1" width="59.42578125" bestFit="1" customWidth="1"/>
  </cols>
  <sheetData>
    <row r="1" spans="1:3" x14ac:dyDescent="0.25">
      <c r="A1" s="20" t="s">
        <v>62</v>
      </c>
    </row>
    <row r="2" spans="1:3" x14ac:dyDescent="0.25">
      <c r="A2" t="s">
        <v>63</v>
      </c>
      <c r="B2" t="s">
        <v>64</v>
      </c>
      <c r="C2">
        <v>30</v>
      </c>
    </row>
    <row r="3" spans="1:3" x14ac:dyDescent="0.25">
      <c r="A3" t="s">
        <v>65</v>
      </c>
      <c r="B3" t="s">
        <v>66</v>
      </c>
      <c r="C3">
        <v>9</v>
      </c>
    </row>
    <row r="4" spans="1:3" ht="15.75" x14ac:dyDescent="0.25">
      <c r="A4" t="s">
        <v>67</v>
      </c>
      <c r="B4" t="s">
        <v>68</v>
      </c>
      <c r="C4">
        <v>8.2200000000000006</v>
      </c>
    </row>
    <row r="5" spans="1:3" x14ac:dyDescent="0.25">
      <c r="A5" t="s">
        <v>69</v>
      </c>
      <c r="B5" t="s">
        <v>70</v>
      </c>
      <c r="C5">
        <v>6.63</v>
      </c>
    </row>
    <row r="6" spans="1:3" x14ac:dyDescent="0.25">
      <c r="A6" t="s">
        <v>71</v>
      </c>
      <c r="B6" t="s">
        <v>72</v>
      </c>
      <c r="C6">
        <f>((200/C2)*(200/C2))*((C5/C4)*(C5/C4))*(1+2/C3)</f>
        <v>35.338741515593419</v>
      </c>
    </row>
    <row r="18" spans="1:2" x14ac:dyDescent="0.25">
      <c r="A18" s="20" t="s">
        <v>80</v>
      </c>
    </row>
    <row r="19" spans="1:2" x14ac:dyDescent="0.25">
      <c r="A19" t="s">
        <v>6</v>
      </c>
      <c r="B19" s="16">
        <v>50</v>
      </c>
    </row>
    <row r="20" spans="1:2" x14ac:dyDescent="0.25">
      <c r="A20" t="s">
        <v>74</v>
      </c>
      <c r="B20" s="16">
        <v>10</v>
      </c>
    </row>
    <row r="21" spans="1:2" x14ac:dyDescent="0.25">
      <c r="A21" t="s">
        <v>75</v>
      </c>
      <c r="B21" s="16">
        <v>0.1</v>
      </c>
    </row>
    <row r="22" spans="1:2" x14ac:dyDescent="0.25">
      <c r="A22" t="s">
        <v>76</v>
      </c>
      <c r="B22" s="16">
        <v>7.5</v>
      </c>
    </row>
    <row r="23" spans="1:2" x14ac:dyDescent="0.25">
      <c r="A23" t="s">
        <v>77</v>
      </c>
      <c r="B23" s="16">
        <v>16.899999999999999</v>
      </c>
    </row>
    <row r="24" spans="1:2" x14ac:dyDescent="0.25">
      <c r="A24" t="s">
        <v>78</v>
      </c>
      <c r="B24" s="32">
        <f>(B19*B23)/(B23+B19*B21^2*B22^2)</f>
        <v>18.767351471404769</v>
      </c>
    </row>
    <row r="25" spans="1:2" x14ac:dyDescent="0.25">
      <c r="A25" t="s">
        <v>79</v>
      </c>
      <c r="B25" s="18">
        <f>B24-B20</f>
        <v>8.7673514714047691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7" sqref="G7"/>
    </sheetView>
  </sheetViews>
  <sheetFormatPr baseColWidth="10" defaultRowHeight="15" x14ac:dyDescent="0.25"/>
  <cols>
    <col min="2" max="2" width="16.7109375" customWidth="1"/>
  </cols>
  <sheetData>
    <row r="1" spans="1:3" x14ac:dyDescent="0.25">
      <c r="A1" t="s">
        <v>81</v>
      </c>
    </row>
    <row r="2" spans="1:3" x14ac:dyDescent="0.25">
      <c r="A2" t="s">
        <v>82</v>
      </c>
      <c r="B2">
        <v>51</v>
      </c>
    </row>
    <row r="3" spans="1:3" x14ac:dyDescent="0.25">
      <c r="A3" t="s">
        <v>83</v>
      </c>
      <c r="B3">
        <v>63</v>
      </c>
    </row>
    <row r="4" spans="1:3" x14ac:dyDescent="0.25">
      <c r="A4" t="s">
        <v>84</v>
      </c>
      <c r="B4">
        <v>41</v>
      </c>
      <c r="C4" t="s">
        <v>90</v>
      </c>
    </row>
    <row r="6" spans="1:3" x14ac:dyDescent="0.25">
      <c r="A6" t="s">
        <v>36</v>
      </c>
      <c r="B6" s="27">
        <f>(B2+1)*(B3+1)/(B4+1)-1</f>
        <v>78.238095238095241</v>
      </c>
    </row>
    <row r="8" spans="1:3" x14ac:dyDescent="0.25">
      <c r="A8" t="s">
        <v>85</v>
      </c>
      <c r="B8" s="10">
        <f>(B2+1)*(B3+1)*(B2-B4)*(B3-B4)/(B4+1)^2/(B4+2)</f>
        <v>9.6524811474977579</v>
      </c>
    </row>
    <row r="10" spans="1:3" x14ac:dyDescent="0.25">
      <c r="A10" t="s">
        <v>86</v>
      </c>
      <c r="B10" s="10">
        <f>B2/B6</f>
        <v>0.65185636031649419</v>
      </c>
      <c r="C10" t="s">
        <v>87</v>
      </c>
    </row>
    <row r="12" spans="1:3" x14ac:dyDescent="0.25">
      <c r="A12" t="s">
        <v>88</v>
      </c>
      <c r="B12" s="10">
        <f>B3/B6</f>
        <v>0.80523432744978696</v>
      </c>
      <c r="C1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L9" sqref="L9"/>
    </sheetView>
  </sheetViews>
  <sheetFormatPr baseColWidth="10" defaultRowHeight="15" x14ac:dyDescent="0.25"/>
  <sheetData>
    <row r="1" spans="2:7" x14ac:dyDescent="0.25">
      <c r="C1" t="s">
        <v>91</v>
      </c>
    </row>
    <row r="2" spans="2:7" x14ac:dyDescent="0.25">
      <c r="B2" t="s">
        <v>92</v>
      </c>
      <c r="C2">
        <v>1</v>
      </c>
      <c r="D2">
        <v>2</v>
      </c>
    </row>
    <row r="3" spans="2:7" x14ac:dyDescent="0.25">
      <c r="B3">
        <v>1</v>
      </c>
      <c r="C3">
        <v>20</v>
      </c>
      <c r="D3">
        <v>14</v>
      </c>
      <c r="E3">
        <f>SUM(C3:D3)</f>
        <v>34</v>
      </c>
    </row>
    <row r="4" spans="2:7" x14ac:dyDescent="0.25">
      <c r="B4">
        <v>2</v>
      </c>
      <c r="C4">
        <v>24</v>
      </c>
      <c r="D4">
        <v>35</v>
      </c>
      <c r="E4">
        <f>SUM(C4:D4)</f>
        <v>59</v>
      </c>
      <c r="G4" t="s">
        <v>30</v>
      </c>
    </row>
    <row r="5" spans="2:7" x14ac:dyDescent="0.25">
      <c r="C5">
        <f>SUM(C3:C4)</f>
        <v>44</v>
      </c>
      <c r="D5">
        <f>SUM(D3:D4)</f>
        <v>49</v>
      </c>
      <c r="E5">
        <f>SUM(E3:E4)</f>
        <v>93</v>
      </c>
    </row>
    <row r="6" spans="2:7" x14ac:dyDescent="0.25">
      <c r="C6">
        <f>C5/$E5</f>
        <v>0.4731182795698925</v>
      </c>
      <c r="D6">
        <f>D5/$E5</f>
        <v>0.5268817204301075</v>
      </c>
    </row>
    <row r="7" spans="2:7" x14ac:dyDescent="0.25">
      <c r="B7" t="s">
        <v>93</v>
      </c>
      <c r="C7">
        <f>(C3*D4-D3*C4)/(C3*D4+D4*D3)</f>
        <v>0.30588235294117649</v>
      </c>
      <c r="D7" t="s">
        <v>94</v>
      </c>
    </row>
    <row r="9" spans="2:7" x14ac:dyDescent="0.25">
      <c r="B9" t="s">
        <v>95</v>
      </c>
      <c r="C9">
        <f>(C3*D4-D3*C4)/(C3*D4+C3*D3)</f>
        <v>0.37142857142857144</v>
      </c>
      <c r="D9" t="s">
        <v>96</v>
      </c>
    </row>
    <row r="11" spans="2:7" x14ac:dyDescent="0.25">
      <c r="B11" t="s">
        <v>97</v>
      </c>
      <c r="C11">
        <f>1-D3*C4/(D4*C3)</f>
        <v>0.52</v>
      </c>
      <c r="D11" t="s">
        <v>98</v>
      </c>
    </row>
    <row r="13" spans="2:7" x14ac:dyDescent="0.25">
      <c r="B13" t="s">
        <v>99</v>
      </c>
      <c r="C13" s="10">
        <f>(1-C11)^2*11:11/E5*(1/(C7*C6)+1/(C9*D6)+1/(C9*(1-C7)*C6)+1/(C7*(1-C9)*D6))</f>
        <v>3.8763037640325772E-2</v>
      </c>
      <c r="D13" t="s">
        <v>100</v>
      </c>
    </row>
    <row r="16" spans="2:7" x14ac:dyDescent="0.25">
      <c r="B16" t="s">
        <v>101</v>
      </c>
      <c r="C16" s="31">
        <f>E5/C11</f>
        <v>178.84615384615384</v>
      </c>
      <c r="D16" t="s">
        <v>102</v>
      </c>
    </row>
    <row r="18" spans="2:3" x14ac:dyDescent="0.25">
      <c r="B18" t="s">
        <v>103</v>
      </c>
      <c r="C18" s="10">
        <f>E5^2*C13/C11^4+E5*(1-C11)/C11^2</f>
        <v>4750.4158937118355</v>
      </c>
    </row>
    <row r="20" spans="2:3" x14ac:dyDescent="0.25">
      <c r="C20">
        <f>C$16-1.96*SQRT(C$18)</f>
        <v>43.756562473304598</v>
      </c>
    </row>
    <row r="21" spans="2:3" x14ac:dyDescent="0.25">
      <c r="C21">
        <f>C$16+1.96*SQRT(C$18)</f>
        <v>313.93574521900308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Area igual</vt:lpstr>
      <vt:lpstr>Area desigual</vt:lpstr>
      <vt:lpstr>Estratificado</vt:lpstr>
      <vt:lpstr>Determinacion tamaño muestra</vt:lpstr>
      <vt:lpstr>Observadores independientes</vt:lpstr>
      <vt:lpstr>Multiples observadores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Oscar_R</cp:lastModifiedBy>
  <dcterms:created xsi:type="dcterms:W3CDTF">2012-04-21T19:08:12Z</dcterms:created>
  <dcterms:modified xsi:type="dcterms:W3CDTF">2016-03-16T14:51:52Z</dcterms:modified>
</cp:coreProperties>
</file>